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teofmichigan-my.sharepoint.com/personal/vailj1_michigan_gov/Documents/Executive/"/>
    </mc:Choice>
  </mc:AlternateContent>
  <xr:revisionPtr revIDLastSave="0" documentId="8_{C7D0D19D-C7BE-4D5F-B6D2-3569617461E9}" xr6:coauthVersionLast="45" xr6:coauthVersionMax="45" xr10:uidLastSave="{00000000-0000-0000-0000-000000000000}"/>
  <workbookProtection lockStructure="1"/>
  <bookViews>
    <workbookView xWindow="-108" yWindow="-108" windowWidth="23256" windowHeight="12576" activeTab="1" xr2:uid="{00000000-000D-0000-FFFF-FFFF00000000}"/>
  </bookViews>
  <sheets>
    <sheet name="Total # By Region who need RRH" sheetId="1" r:id="rId1"/>
    <sheet name="RRH Cost Assumptions" sheetId="3" r:id="rId2"/>
    <sheet name="Cost to Serve Total # for RRH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" l="1"/>
  <c r="E8" i="3"/>
  <c r="D76" i="3" l="1"/>
  <c r="C76" i="3"/>
  <c r="B76" i="3"/>
  <c r="E76" i="3" s="1"/>
  <c r="D75" i="3"/>
  <c r="C75" i="3"/>
  <c r="B75" i="3"/>
  <c r="E75" i="3" s="1"/>
  <c r="D74" i="3"/>
  <c r="C74" i="3"/>
  <c r="B74" i="3"/>
  <c r="D73" i="3"/>
  <c r="C73" i="3"/>
  <c r="B73" i="3"/>
  <c r="D67" i="3"/>
  <c r="C67" i="3"/>
  <c r="B67" i="3"/>
  <c r="E67" i="3" s="1"/>
  <c r="D66" i="3"/>
  <c r="C66" i="3"/>
  <c r="B66" i="3"/>
  <c r="D65" i="3"/>
  <c r="C65" i="3"/>
  <c r="B65" i="3"/>
  <c r="E65" i="3" s="1"/>
  <c r="D64" i="3"/>
  <c r="C64" i="3"/>
  <c r="B64" i="3"/>
  <c r="E64" i="3" s="1"/>
  <c r="D58" i="3"/>
  <c r="C58" i="3"/>
  <c r="B58" i="3"/>
  <c r="E58" i="3" s="1"/>
  <c r="D57" i="3"/>
  <c r="C57" i="3"/>
  <c r="B57" i="3"/>
  <c r="E57" i="3" s="1"/>
  <c r="D56" i="3"/>
  <c r="C56" i="3"/>
  <c r="B56" i="3"/>
  <c r="D55" i="3"/>
  <c r="C55" i="3"/>
  <c r="B55" i="3"/>
  <c r="D49" i="3"/>
  <c r="C49" i="3"/>
  <c r="B49" i="3"/>
  <c r="E49" i="3" s="1"/>
  <c r="D48" i="3"/>
  <c r="C48" i="3"/>
  <c r="B48" i="3"/>
  <c r="D47" i="3"/>
  <c r="C47" i="3"/>
  <c r="B47" i="3"/>
  <c r="E47" i="3" s="1"/>
  <c r="D46" i="3"/>
  <c r="C46" i="3"/>
  <c r="B46" i="3"/>
  <c r="E46" i="3" s="1"/>
  <c r="D40" i="3"/>
  <c r="C40" i="3"/>
  <c r="B40" i="3"/>
  <c r="E40" i="3" s="1"/>
  <c r="D39" i="3"/>
  <c r="C39" i="3"/>
  <c r="B39" i="3"/>
  <c r="E39" i="3" s="1"/>
  <c r="D38" i="3"/>
  <c r="C38" i="3"/>
  <c r="B38" i="3"/>
  <c r="D37" i="3"/>
  <c r="C37" i="3"/>
  <c r="B37" i="3"/>
  <c r="D31" i="3"/>
  <c r="C31" i="3"/>
  <c r="B31" i="3"/>
  <c r="E31" i="3" s="1"/>
  <c r="D30" i="3"/>
  <c r="C30" i="3"/>
  <c r="B30" i="3"/>
  <c r="D29" i="3"/>
  <c r="C29" i="3"/>
  <c r="B29" i="3"/>
  <c r="E29" i="3" s="1"/>
  <c r="D28" i="3"/>
  <c r="C28" i="3"/>
  <c r="B28" i="3"/>
  <c r="E28" i="3" s="1"/>
  <c r="D22" i="3"/>
  <c r="C22" i="3"/>
  <c r="B22" i="3"/>
  <c r="E22" i="3" s="1"/>
  <c r="D21" i="3"/>
  <c r="C21" i="3"/>
  <c r="B21" i="3"/>
  <c r="E21" i="3" s="1"/>
  <c r="D20" i="3"/>
  <c r="C20" i="3"/>
  <c r="B20" i="3"/>
  <c r="D19" i="3"/>
  <c r="C19" i="3"/>
  <c r="B19" i="3"/>
  <c r="E19" i="3" l="1"/>
  <c r="F19" i="3" s="1"/>
  <c r="C7" i="2" s="1"/>
  <c r="E37" i="3"/>
  <c r="E55" i="3"/>
  <c r="E73" i="3"/>
  <c r="E30" i="3"/>
  <c r="E48" i="3"/>
  <c r="E66" i="3"/>
  <c r="F66" i="3" s="1"/>
  <c r="I12" i="2" s="1"/>
  <c r="E20" i="3"/>
  <c r="E38" i="3"/>
  <c r="E56" i="3"/>
  <c r="E74" i="3"/>
  <c r="F29" i="3"/>
  <c r="F8" i="2" s="1"/>
  <c r="F47" i="3"/>
  <c r="F10" i="2" s="1"/>
  <c r="F65" i="3"/>
  <c r="F12" i="2" s="1"/>
  <c r="F55" i="3"/>
  <c r="C11" i="2" s="1"/>
  <c r="F73" i="3"/>
  <c r="C13" i="2" s="1"/>
  <c r="F21" i="3"/>
  <c r="I7" i="2" s="1"/>
  <c r="F37" i="3"/>
  <c r="C9" i="2" s="1"/>
  <c r="F30" i="3"/>
  <c r="I8" i="2" s="1"/>
  <c r="F20" i="3"/>
  <c r="F7" i="2" s="1"/>
  <c r="F38" i="3"/>
  <c r="F9" i="2" s="1"/>
  <c r="F56" i="3"/>
  <c r="F11" i="2" s="1"/>
  <c r="F75" i="3"/>
  <c r="I13" i="2" s="1"/>
  <c r="F74" i="3"/>
  <c r="F13" i="2" s="1"/>
  <c r="F76" i="3"/>
  <c r="L13" i="2" s="1"/>
  <c r="F64" i="3"/>
  <c r="C12" i="2" s="1"/>
  <c r="F67" i="3"/>
  <c r="L12" i="2" s="1"/>
  <c r="F57" i="3"/>
  <c r="I11" i="2" s="1"/>
  <c r="F58" i="3"/>
  <c r="L11" i="2" s="1"/>
  <c r="F46" i="3"/>
  <c r="C10" i="2" s="1"/>
  <c r="F49" i="3"/>
  <c r="L10" i="2" s="1"/>
  <c r="F48" i="3"/>
  <c r="I10" i="2" s="1"/>
  <c r="F40" i="3"/>
  <c r="L9" i="2" s="1"/>
  <c r="F39" i="3"/>
  <c r="I9" i="2" s="1"/>
  <c r="F28" i="3"/>
  <c r="C8" i="2" s="1"/>
  <c r="F31" i="3"/>
  <c r="L8" i="2" s="1"/>
  <c r="F22" i="3"/>
  <c r="L7" i="2" s="1"/>
  <c r="B11" i="3"/>
  <c r="D12" i="3"/>
  <c r="D11" i="3"/>
  <c r="D10" i="3"/>
  <c r="D9" i="3"/>
  <c r="C12" i="3"/>
  <c r="C11" i="3"/>
  <c r="C10" i="3"/>
  <c r="C9" i="3"/>
  <c r="B12" i="3"/>
  <c r="B10" i="3"/>
  <c r="B9" i="3"/>
  <c r="E9" i="3" l="1"/>
  <c r="F9" i="3" s="1"/>
  <c r="E12" i="3"/>
  <c r="F12" i="3" s="1"/>
  <c r="E10" i="3"/>
  <c r="F10" i="3" s="1"/>
  <c r="E11" i="3"/>
  <c r="F11" i="3" s="1"/>
  <c r="B5" i="2"/>
  <c r="H13" i="1"/>
  <c r="I13" i="1" s="1"/>
  <c r="J13" i="1" s="1"/>
  <c r="G13" i="1"/>
  <c r="F13" i="1"/>
  <c r="E13" i="1"/>
  <c r="C13" i="1"/>
  <c r="D13" i="1"/>
  <c r="B13" i="1"/>
  <c r="I6" i="1"/>
  <c r="J6" i="1" s="1"/>
  <c r="B8" i="2" s="1"/>
  <c r="K8" i="2" s="1"/>
  <c r="I7" i="1"/>
  <c r="J7" i="1" s="1"/>
  <c r="B9" i="2" s="1"/>
  <c r="K9" i="2" s="1"/>
  <c r="I8" i="1"/>
  <c r="J8" i="1" s="1"/>
  <c r="B10" i="2" s="1"/>
  <c r="K10" i="2" s="1"/>
  <c r="I10" i="1"/>
  <c r="J10" i="1" s="1"/>
  <c r="B12" i="2" s="1"/>
  <c r="K12" i="2" s="1"/>
  <c r="H6" i="1"/>
  <c r="H7" i="1"/>
  <c r="H8" i="1"/>
  <c r="H9" i="1"/>
  <c r="I9" i="1" s="1"/>
  <c r="J9" i="1" s="1"/>
  <c r="B11" i="2" s="1"/>
  <c r="K11" i="2" s="1"/>
  <c r="H10" i="1"/>
  <c r="H11" i="1"/>
  <c r="I11" i="1" s="1"/>
  <c r="J11" i="1" s="1"/>
  <c r="B13" i="2" s="1"/>
  <c r="K13" i="2" s="1"/>
  <c r="H5" i="1"/>
  <c r="I5" i="1" s="1"/>
  <c r="J5" i="1" s="1"/>
  <c r="B7" i="2" s="1"/>
  <c r="G6" i="1"/>
  <c r="G7" i="1"/>
  <c r="G8" i="1"/>
  <c r="G9" i="1"/>
  <c r="G10" i="1"/>
  <c r="G11" i="1"/>
  <c r="G5" i="1"/>
  <c r="E6" i="1"/>
  <c r="E7" i="1"/>
  <c r="E8" i="1"/>
  <c r="E9" i="1"/>
  <c r="E10" i="1"/>
  <c r="E11" i="1"/>
  <c r="E5" i="1"/>
  <c r="K7" i="2" l="1"/>
  <c r="B14" i="2"/>
  <c r="H11" i="2"/>
  <c r="H10" i="2"/>
  <c r="H9" i="2"/>
  <c r="H8" i="2"/>
  <c r="H7" i="2"/>
  <c r="H13" i="2"/>
  <c r="H12" i="2"/>
  <c r="E10" i="2"/>
  <c r="E9" i="2"/>
  <c r="E8" i="2"/>
  <c r="E7" i="2"/>
  <c r="E13" i="2"/>
  <c r="E12" i="2"/>
  <c r="E11" i="2"/>
  <c r="N12" i="2"/>
  <c r="N11" i="2"/>
  <c r="N10" i="2"/>
  <c r="N7" i="2"/>
  <c r="N9" i="2"/>
  <c r="N8" i="2"/>
  <c r="N13" i="2"/>
  <c r="O9" i="2" l="1"/>
  <c r="O12" i="2"/>
  <c r="O10" i="2"/>
  <c r="O11" i="2"/>
  <c r="O7" i="2"/>
  <c r="O13" i="2"/>
  <c r="O8" i="2"/>
  <c r="O15" i="2" l="1"/>
  <c r="P12" i="2" s="1"/>
  <c r="P13" i="2" l="1"/>
  <c r="P9" i="2"/>
  <c r="P7" i="2"/>
  <c r="P8" i="2"/>
  <c r="P10" i="2"/>
  <c r="P11" i="2"/>
</calcChain>
</file>

<file path=xl/sharedStrings.xml><?xml version="1.0" encoding="utf-8"?>
<sst xmlns="http://schemas.openxmlformats.org/spreadsheetml/2006/main" count="200" uniqueCount="84">
  <si>
    <t>Region</t>
  </si>
  <si>
    <t>Total # of People Experiencing Homelessness</t>
  </si>
  <si>
    <t># of Singles Scored for RRH</t>
  </si>
  <si>
    <t># of Families Scored for RRH</t>
  </si>
  <si>
    <t>% of Families Scored for RRH (based on VISPDAT Score/Total Scored)</t>
  </si>
  <si>
    <t>% of Singles Scored for RRH (based on # of VISPDAT Score/Total Scored)</t>
  </si>
  <si>
    <t>% of Total Homeless who may need RRH</t>
  </si>
  <si>
    <t>Region 1</t>
  </si>
  <si>
    <t>Region 2</t>
  </si>
  <si>
    <t>Region 3</t>
  </si>
  <si>
    <t>Region 4</t>
  </si>
  <si>
    <t>Region 5</t>
  </si>
  <si>
    <t>Region 6</t>
  </si>
  <si>
    <t>Region 7, 8, 9</t>
  </si>
  <si>
    <t>Total VISPDAT Assessment Completed (RRH or PSH)</t>
  </si>
  <si>
    <t>Source: MIBoS Aggregate Data</t>
  </si>
  <si>
    <t>Column E: Total Unsheltered Homeless Count Served</t>
  </si>
  <si>
    <t>Column L: # of VISPDAT score singles RRH</t>
  </si>
  <si>
    <t>Column N: # of VISPDAT score families RRH</t>
  </si>
  <si>
    <t>Added Column: Column K + L + M + N</t>
  </si>
  <si>
    <t>Calculation this spreadsheet: Column D/C</t>
  </si>
  <si>
    <t>Calculation this spreadsheet: Column F/C</t>
  </si>
  <si>
    <t>Total # of Homeless who Score for RRH (Singles and Families)</t>
  </si>
  <si>
    <t>Calculation this spreadsheet: D + F</t>
  </si>
  <si>
    <t>Total % of Homeless who score for RRH (Singles and Families)</t>
  </si>
  <si>
    <t>Calculation this spreadsheet: Column H/C</t>
  </si>
  <si>
    <t>Totals for BoS</t>
  </si>
  <si>
    <t>Calculation this spreadsheet: Apply % in Column I to Total in Column B</t>
  </si>
  <si>
    <t>Service Costs</t>
  </si>
  <si>
    <t>Housing Costs</t>
  </si>
  <si>
    <t>Operating and Other Client Costs</t>
  </si>
  <si>
    <t>Admin Costs</t>
  </si>
  <si>
    <t>Total Cost to Serve HH in RRH</t>
  </si>
  <si>
    <t>Total $ Amount Needed for RRH</t>
  </si>
  <si>
    <t>RRH 3 Months</t>
  </si>
  <si>
    <t>RRH 6 Months</t>
  </si>
  <si>
    <t>RRH 12 Months</t>
  </si>
  <si>
    <t>RRH 24 Months</t>
  </si>
  <si>
    <t>Monthly Cost</t>
  </si>
  <si>
    <t>2 BR FMR 2021 MSA Rates = $827; 1 BR MSA = $632; 2 BR Local Area = $770; 1 BR Local Area = $584</t>
  </si>
  <si>
    <t>2 Months Security Deposit at $827 = 1,654 + $800 per client for food, transportation, etc.</t>
  </si>
  <si>
    <t>7.5% of Total Cost</t>
  </si>
  <si>
    <t>Column J from Total # by Region who need RRH</t>
  </si>
  <si>
    <t>Total Cost to Serve HH in RRH for 12 Months</t>
  </si>
  <si>
    <t>Total Cost to Serve HH in RRH For 3 Months</t>
  </si>
  <si>
    <t>From RRH Cost Assumptions tab</t>
  </si>
  <si>
    <t>Total Cost to Serve HH in RRH for 6 Months</t>
  </si>
  <si>
    <t>Total Cost to Serve HH in RRH for 24 Months</t>
  </si>
  <si>
    <t>% of Population who Need RRH For 3 Months</t>
  </si>
  <si>
    <t>% of Population who Need RRH for 6 Months</t>
  </si>
  <si>
    <t># of Population who Need RRH for 12 Months</t>
  </si>
  <si>
    <t>% of Population who Need RRH for 24 Months</t>
  </si>
  <si>
    <t>Defined by Region</t>
  </si>
  <si>
    <t>Total Cost to Serve for 3 Months</t>
  </si>
  <si>
    <t>3 Months</t>
  </si>
  <si>
    <t>Total Cost to Serve for 6 Months</t>
  </si>
  <si>
    <t>6 Months</t>
  </si>
  <si>
    <t>Total Cost to Serve for 12 Months</t>
  </si>
  <si>
    <t>12 Months</t>
  </si>
  <si>
    <t>Total Cost to Serve for 24 Months</t>
  </si>
  <si>
    <t>24 Months</t>
  </si>
  <si>
    <t>Calculation this spreadsheet: (D*B)*C</t>
  </si>
  <si>
    <t>Calculation this spreadsheet: (G*B)*F</t>
  </si>
  <si>
    <t>Calculations this spreadsheet: (J*B)*I</t>
  </si>
  <si>
    <t>Calculations this spreadsheet: (M*B)*L</t>
  </si>
  <si>
    <t>Calculation this spreadsheet:E+H+K+N</t>
  </si>
  <si>
    <t>1:15 CM Ratio; Supervision/Admin/1.0 FTE CM (CM Salary $40k + 40% Fringe) = $120,000 per year/12 months/15 clients = $666/HH/month</t>
  </si>
  <si>
    <t>% of Whole</t>
  </si>
  <si>
    <t>REGION 1</t>
  </si>
  <si>
    <t>REGION 2</t>
  </si>
  <si>
    <t>REGION 3</t>
  </si>
  <si>
    <t>REGION 4</t>
  </si>
  <si>
    <t>REGION 5</t>
  </si>
  <si>
    <t>REGION 6</t>
  </si>
  <si>
    <t>REGION 7, 8, 9</t>
  </si>
  <si>
    <t>Green Cells are editable</t>
  </si>
  <si>
    <t>Gray cells are Calculations and Locked for Editing</t>
  </si>
  <si>
    <t>Blue cells are Transfers from another Tab and Locked for Editing</t>
  </si>
  <si>
    <t>General MI BoS Cost Assumptions</t>
  </si>
  <si>
    <t>10% of Total Cost</t>
  </si>
  <si>
    <t>Analysis of RRH Need by Region</t>
  </si>
  <si>
    <t>RRH COST ASSUMPTIONS</t>
  </si>
  <si>
    <t>RRH 1 Month</t>
  </si>
  <si>
    <t>Assumption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</si>
</sst>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9" fontId="0" fillId="0" borderId="0" xfId="1" applyFont="1"/>
    <xf numFmtId="0" fontId="0" fillId="0" borderId="0" xfId="1" applyNumberFormat="1" applyFont="1"/>
    <xf numFmtId="9" fontId="2" fillId="0" borderId="0" xfId="0" applyNumberFormat="1" applyFont="1"/>
    <xf numFmtId="0" fontId="2" fillId="0" borderId="1" xfId="2"/>
    <xf numFmtId="164" fontId="2" fillId="0" borderId="1" xfId="2" applyNumberFormat="1"/>
    <xf numFmtId="9" fontId="2" fillId="0" borderId="1" xfId="2" applyNumberFormat="1"/>
    <xf numFmtId="0" fontId="2" fillId="0" borderId="1" xfId="2" applyNumberFormat="1"/>
    <xf numFmtId="1" fontId="0" fillId="0" borderId="0" xfId="0" applyNumberFormat="1"/>
    <xf numFmtId="1" fontId="2" fillId="0" borderId="1" xfId="2" applyNumberFormat="1"/>
    <xf numFmtId="1" fontId="0" fillId="0" borderId="0" xfId="0" applyNumberFormat="1" applyAlignment="1">
      <alignment wrapText="1"/>
    </xf>
    <xf numFmtId="6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6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6" fontId="0" fillId="2" borderId="5" xfId="0" applyNumberFormat="1" applyFill="1" applyBorder="1"/>
    <xf numFmtId="6" fontId="0" fillId="2" borderId="7" xfId="0" applyNumberFormat="1" applyFill="1" applyBorder="1"/>
    <xf numFmtId="0" fontId="0" fillId="4" borderId="0" xfId="0" applyFill="1" applyAlignment="1">
      <alignment wrapText="1"/>
    </xf>
    <xf numFmtId="6" fontId="0" fillId="4" borderId="0" xfId="0" applyNumberFormat="1" applyFill="1"/>
    <xf numFmtId="1" fontId="0" fillId="4" borderId="0" xfId="0" applyNumberFormat="1" applyFill="1"/>
    <xf numFmtId="0" fontId="4" fillId="0" borderId="0" xfId="0" applyFont="1"/>
    <xf numFmtId="0" fontId="5" fillId="5" borderId="0" xfId="0" applyFont="1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4" fillId="5" borderId="0" xfId="0" applyFont="1" applyFill="1"/>
    <xf numFmtId="0" fontId="0" fillId="5" borderId="0" xfId="0" applyFill="1"/>
    <xf numFmtId="0" fontId="4" fillId="6" borderId="0" xfId="0" applyFont="1" applyFill="1"/>
    <xf numFmtId="0" fontId="4" fillId="7" borderId="0" xfId="0" applyFont="1" applyFill="1"/>
    <xf numFmtId="0" fontId="4" fillId="8" borderId="0" xfId="0" applyFont="1" applyFill="1"/>
    <xf numFmtId="0" fontId="4" fillId="9" borderId="0" xfId="0" applyFont="1" applyFill="1"/>
    <xf numFmtId="0" fontId="4" fillId="10" borderId="0" xfId="0" applyFont="1" applyFill="1"/>
    <xf numFmtId="0" fontId="4" fillId="11" borderId="0" xfId="0" applyFont="1" applyFill="1"/>
    <xf numFmtId="9" fontId="0" fillId="4" borderId="0" xfId="1" applyFont="1" applyFill="1"/>
    <xf numFmtId="0" fontId="0" fillId="4" borderId="0" xfId="1" applyNumberFormat="1" applyFont="1" applyFill="1"/>
    <xf numFmtId="0" fontId="0" fillId="3" borderId="0" xfId="0" applyFill="1"/>
    <xf numFmtId="0" fontId="0" fillId="3" borderId="0" xfId="0" applyFill="1" applyProtection="1">
      <protection locked="0"/>
    </xf>
    <xf numFmtId="0" fontId="0" fillId="4" borderId="0" xfId="0" applyFill="1"/>
    <xf numFmtId="0" fontId="0" fillId="2" borderId="0" xfId="0" applyFill="1"/>
    <xf numFmtId="0" fontId="0" fillId="12" borderId="0" xfId="0" applyFill="1"/>
    <xf numFmtId="0" fontId="2" fillId="0" borderId="0" xfId="0" applyFont="1"/>
    <xf numFmtId="0" fontId="0" fillId="12" borderId="5" xfId="0" applyFill="1" applyBorder="1" applyAlignment="1">
      <alignment wrapText="1"/>
    </xf>
    <xf numFmtId="0" fontId="0" fillId="12" borderId="0" xfId="0" applyFill="1" applyBorder="1" applyAlignment="1">
      <alignment wrapText="1"/>
    </xf>
    <xf numFmtId="0" fontId="0" fillId="12" borderId="6" xfId="0" applyFill="1" applyBorder="1" applyAlignment="1">
      <alignment wrapText="1"/>
    </xf>
    <xf numFmtId="1" fontId="0" fillId="2" borderId="0" xfId="0" applyNumberFormat="1" applyFill="1" applyAlignment="1">
      <alignment wrapText="1"/>
    </xf>
    <xf numFmtId="6" fontId="0" fillId="4" borderId="6" xfId="0" applyNumberFormat="1" applyFill="1" applyBorder="1"/>
    <xf numFmtId="6" fontId="0" fillId="4" borderId="9" xfId="0" applyNumberFormat="1" applyFill="1" applyBorder="1"/>
    <xf numFmtId="9" fontId="0" fillId="3" borderId="0" xfId="1" applyFont="1" applyFill="1" applyBorder="1" applyProtection="1">
      <protection locked="0"/>
    </xf>
    <xf numFmtId="9" fontId="0" fillId="3" borderId="8" xfId="1" applyFont="1" applyFill="1" applyBorder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6" fontId="0" fillId="3" borderId="0" xfId="0" applyNumberFormat="1" applyFill="1" applyAlignment="1" applyProtection="1">
      <alignment wrapText="1"/>
      <protection locked="0"/>
    </xf>
    <xf numFmtId="10" fontId="0" fillId="3" borderId="0" xfId="0" applyNumberFormat="1" applyFill="1" applyAlignment="1" applyProtection="1">
      <alignment wrapText="1"/>
      <protection locked="0"/>
    </xf>
    <xf numFmtId="0" fontId="6" fillId="3" borderId="0" xfId="0" applyFont="1" applyFill="1" applyAlignment="1" applyProtection="1">
      <alignment wrapText="1"/>
      <protection locked="0"/>
    </xf>
    <xf numFmtId="6" fontId="5" fillId="3" borderId="0" xfId="0" applyNumberFormat="1" applyFont="1" applyFill="1" applyAlignment="1" applyProtection="1">
      <alignment wrapText="1"/>
      <protection locked="0"/>
    </xf>
    <xf numFmtId="10" fontId="5" fillId="3" borderId="0" xfId="0" applyNumberFormat="1" applyFont="1" applyFill="1" applyAlignment="1" applyProtection="1">
      <alignment wrapText="1"/>
      <protection locked="0"/>
    </xf>
    <xf numFmtId="44" fontId="0" fillId="0" borderId="0" xfId="3" applyFont="1"/>
    <xf numFmtId="165" fontId="0" fillId="0" borderId="0" xfId="3" applyNumberFormat="1" applyFont="1" applyAlignment="1">
      <alignment wrapText="1"/>
    </xf>
    <xf numFmtId="165" fontId="0" fillId="0" borderId="0" xfId="3" applyNumberFormat="1" applyFont="1"/>
    <xf numFmtId="0" fontId="3" fillId="12" borderId="2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4" xfId="0" applyFill="1" applyBorder="1" applyAlignment="1">
      <alignment horizontal="center"/>
    </xf>
  </cellXfs>
  <cellStyles count="4">
    <cellStyle name="Currency" xfId="3" builtinId="4"/>
    <cellStyle name="Normal" xfId="0" builtinId="0"/>
    <cellStyle name="Percent" xfId="1" builtinId="5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workbookViewId="0">
      <selection activeCell="J13" sqref="J13"/>
    </sheetView>
  </sheetViews>
  <sheetFormatPr defaultRowHeight="14.4" x14ac:dyDescent="0.3"/>
  <cols>
    <col min="1" max="1" width="17.33203125" customWidth="1"/>
    <col min="2" max="13" width="18.77734375" customWidth="1"/>
  </cols>
  <sheetData>
    <row r="1" spans="1:10" x14ac:dyDescent="0.3">
      <c r="A1" s="40" t="s">
        <v>75</v>
      </c>
      <c r="B1" s="40"/>
      <c r="C1" s="42" t="s">
        <v>76</v>
      </c>
      <c r="D1" s="42"/>
      <c r="E1" s="42"/>
      <c r="F1" s="43" t="s">
        <v>77</v>
      </c>
      <c r="G1" s="43"/>
      <c r="H1" s="43"/>
    </row>
    <row r="2" spans="1:10" s="44" customFormat="1" ht="30.45" customHeight="1" x14ac:dyDescent="0.3"/>
    <row r="3" spans="1:10" s="1" customFormat="1" ht="57.6" x14ac:dyDescent="0.3">
      <c r="A3" s="1" t="s">
        <v>0</v>
      </c>
      <c r="B3" s="1" t="s">
        <v>1</v>
      </c>
      <c r="C3" s="1" t="s">
        <v>14</v>
      </c>
      <c r="D3" s="1" t="s">
        <v>2</v>
      </c>
      <c r="E3" s="1" t="s">
        <v>5</v>
      </c>
      <c r="F3" s="1" t="s">
        <v>3</v>
      </c>
      <c r="G3" s="1" t="s">
        <v>4</v>
      </c>
      <c r="H3" s="1" t="s">
        <v>22</v>
      </c>
      <c r="I3" s="1" t="s">
        <v>24</v>
      </c>
      <c r="J3" s="1" t="s">
        <v>6</v>
      </c>
    </row>
    <row r="4" spans="1:10" s="1" customFormat="1" ht="57.6" x14ac:dyDescent="0.3">
      <c r="A4" s="16" t="s">
        <v>15</v>
      </c>
      <c r="B4" s="16" t="s">
        <v>16</v>
      </c>
      <c r="C4" s="16" t="s">
        <v>19</v>
      </c>
      <c r="D4" s="16" t="s">
        <v>17</v>
      </c>
      <c r="E4" s="16" t="s">
        <v>20</v>
      </c>
      <c r="F4" s="16" t="s">
        <v>18</v>
      </c>
      <c r="G4" s="16" t="s">
        <v>21</v>
      </c>
      <c r="H4" s="16" t="s">
        <v>23</v>
      </c>
      <c r="I4" s="16" t="s">
        <v>25</v>
      </c>
      <c r="J4" s="16" t="s">
        <v>27</v>
      </c>
    </row>
    <row r="5" spans="1:10" x14ac:dyDescent="0.3">
      <c r="A5" s="23" t="s">
        <v>7</v>
      </c>
      <c r="B5" s="41">
        <v>926</v>
      </c>
      <c r="C5" s="41">
        <v>464</v>
      </c>
      <c r="D5" s="41">
        <v>183</v>
      </c>
      <c r="E5" s="38">
        <f>D5/C5</f>
        <v>0.39439655172413796</v>
      </c>
      <c r="F5" s="41">
        <v>88</v>
      </c>
      <c r="G5" s="38">
        <f>F5/C5</f>
        <v>0.18965517241379309</v>
      </c>
      <c r="H5" s="39">
        <f>D5+F5</f>
        <v>271</v>
      </c>
      <c r="I5" s="38">
        <f>H5/C5</f>
        <v>0.58405172413793105</v>
      </c>
      <c r="J5" s="21">
        <f>I5*B5</f>
        <v>540.83189655172418</v>
      </c>
    </row>
    <row r="6" spans="1:10" x14ac:dyDescent="0.3">
      <c r="A6" s="24" t="s">
        <v>8</v>
      </c>
      <c r="B6" s="41">
        <v>657</v>
      </c>
      <c r="C6" s="41">
        <v>284</v>
      </c>
      <c r="D6" s="41">
        <v>112</v>
      </c>
      <c r="E6" s="38">
        <f t="shared" ref="E6:E13" si="0">D6/C6</f>
        <v>0.39436619718309857</v>
      </c>
      <c r="F6" s="41">
        <v>51</v>
      </c>
      <c r="G6" s="38">
        <f t="shared" ref="G6:G13" si="1">F6/C6</f>
        <v>0.1795774647887324</v>
      </c>
      <c r="H6" s="39">
        <f t="shared" ref="H6:H13" si="2">D6+F6</f>
        <v>163</v>
      </c>
      <c r="I6" s="38">
        <f t="shared" ref="I6:I13" si="3">H6/C6</f>
        <v>0.573943661971831</v>
      </c>
      <c r="J6" s="21">
        <f t="shared" ref="J6:J13" si="4">I6*B6</f>
        <v>377.08098591549299</v>
      </c>
    </row>
    <row r="7" spans="1:10" x14ac:dyDescent="0.3">
      <c r="A7" s="25" t="s">
        <v>9</v>
      </c>
      <c r="B7" s="41">
        <v>1090</v>
      </c>
      <c r="C7" s="41">
        <v>326</v>
      </c>
      <c r="D7" s="41">
        <v>126</v>
      </c>
      <c r="E7" s="38">
        <f t="shared" si="0"/>
        <v>0.38650306748466257</v>
      </c>
      <c r="F7" s="41">
        <v>63</v>
      </c>
      <c r="G7" s="38">
        <f t="shared" si="1"/>
        <v>0.19325153374233128</v>
      </c>
      <c r="H7" s="39">
        <f t="shared" si="2"/>
        <v>189</v>
      </c>
      <c r="I7" s="38">
        <f t="shared" si="3"/>
        <v>0.57975460122699385</v>
      </c>
      <c r="J7" s="21">
        <f t="shared" si="4"/>
        <v>631.9325153374233</v>
      </c>
    </row>
    <row r="8" spans="1:10" x14ac:dyDescent="0.3">
      <c r="A8" s="26" t="s">
        <v>10</v>
      </c>
      <c r="B8" s="41">
        <v>2017</v>
      </c>
      <c r="C8" s="41">
        <v>876</v>
      </c>
      <c r="D8" s="41">
        <v>256</v>
      </c>
      <c r="E8" s="38">
        <f t="shared" si="0"/>
        <v>0.29223744292237441</v>
      </c>
      <c r="F8" s="41">
        <v>201</v>
      </c>
      <c r="G8" s="38">
        <f t="shared" si="1"/>
        <v>0.22945205479452055</v>
      </c>
      <c r="H8" s="39">
        <f t="shared" si="2"/>
        <v>457</v>
      </c>
      <c r="I8" s="38">
        <f t="shared" si="3"/>
        <v>0.52168949771689499</v>
      </c>
      <c r="J8" s="21">
        <f t="shared" si="4"/>
        <v>1052.2477168949772</v>
      </c>
    </row>
    <row r="9" spans="1:10" x14ac:dyDescent="0.3">
      <c r="A9" s="27" t="s">
        <v>11</v>
      </c>
      <c r="B9" s="41">
        <v>2240</v>
      </c>
      <c r="C9" s="41">
        <v>827</v>
      </c>
      <c r="D9" s="41">
        <v>341</v>
      </c>
      <c r="E9" s="38">
        <f t="shared" si="0"/>
        <v>0.41233373639661425</v>
      </c>
      <c r="F9" s="41">
        <v>146</v>
      </c>
      <c r="G9" s="38">
        <f t="shared" si="1"/>
        <v>0.17654171704957677</v>
      </c>
      <c r="H9" s="39">
        <f t="shared" si="2"/>
        <v>487</v>
      </c>
      <c r="I9" s="38">
        <f t="shared" si="3"/>
        <v>0.58887545344619108</v>
      </c>
      <c r="J9" s="21">
        <f t="shared" si="4"/>
        <v>1319.081015719468</v>
      </c>
    </row>
    <row r="10" spans="1:10" x14ac:dyDescent="0.3">
      <c r="A10" s="28" t="s">
        <v>12</v>
      </c>
      <c r="B10" s="41">
        <v>1416</v>
      </c>
      <c r="C10" s="41">
        <v>698</v>
      </c>
      <c r="D10" s="41">
        <v>227</v>
      </c>
      <c r="E10" s="38">
        <f t="shared" si="0"/>
        <v>0.32521489971346706</v>
      </c>
      <c r="F10" s="41">
        <v>125</v>
      </c>
      <c r="G10" s="38">
        <f t="shared" si="1"/>
        <v>0.17908309455587393</v>
      </c>
      <c r="H10" s="39">
        <f t="shared" si="2"/>
        <v>352</v>
      </c>
      <c r="I10" s="38">
        <f t="shared" si="3"/>
        <v>0.50429799426934097</v>
      </c>
      <c r="J10" s="21">
        <f t="shared" si="4"/>
        <v>714.08595988538684</v>
      </c>
    </row>
    <row r="11" spans="1:10" x14ac:dyDescent="0.3">
      <c r="A11" s="29" t="s">
        <v>13</v>
      </c>
      <c r="B11" s="41">
        <v>2492</v>
      </c>
      <c r="C11" s="41">
        <v>868</v>
      </c>
      <c r="D11" s="41">
        <v>276</v>
      </c>
      <c r="E11" s="38">
        <f t="shared" si="0"/>
        <v>0.31797235023041476</v>
      </c>
      <c r="F11" s="41">
        <v>198</v>
      </c>
      <c r="G11" s="38">
        <f t="shared" si="1"/>
        <v>0.22811059907834103</v>
      </c>
      <c r="H11" s="39">
        <f t="shared" si="2"/>
        <v>474</v>
      </c>
      <c r="I11" s="38">
        <f t="shared" si="3"/>
        <v>0.54608294930875578</v>
      </c>
      <c r="J11" s="21">
        <f t="shared" si="4"/>
        <v>1360.8387096774195</v>
      </c>
    </row>
    <row r="12" spans="1:10" x14ac:dyDescent="0.3">
      <c r="E12" s="2"/>
      <c r="G12" s="2"/>
      <c r="H12" s="3"/>
      <c r="I12" s="2"/>
      <c r="J12" s="9"/>
    </row>
    <row r="13" spans="1:10" ht="15" thickBot="1" x14ac:dyDescent="0.35">
      <c r="A13" s="5" t="s">
        <v>26</v>
      </c>
      <c r="B13" s="6">
        <f>SUM(B5:B11)</f>
        <v>10838</v>
      </c>
      <c r="C13" s="6">
        <f t="shared" ref="C13:D13" si="5">SUM(C5:C11)</f>
        <v>4343</v>
      </c>
      <c r="D13" s="6">
        <f t="shared" si="5"/>
        <v>1521</v>
      </c>
      <c r="E13" s="7">
        <f t="shared" si="0"/>
        <v>0.35021874280451298</v>
      </c>
      <c r="F13" s="5">
        <f>SUM(F5:F11)</f>
        <v>872</v>
      </c>
      <c r="G13" s="7">
        <f t="shared" si="1"/>
        <v>0.20078286898457287</v>
      </c>
      <c r="H13" s="8">
        <f t="shared" si="2"/>
        <v>2393</v>
      </c>
      <c r="I13" s="7">
        <f t="shared" si="3"/>
        <v>0.55100161178908591</v>
      </c>
      <c r="J13" s="10">
        <f t="shared" si="4"/>
        <v>5971.7554685701134</v>
      </c>
    </row>
    <row r="14" spans="1:10" ht="15" thickTop="1" x14ac:dyDescent="0.3">
      <c r="I14" s="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6"/>
  <sheetViews>
    <sheetView tabSelected="1" workbookViewId="0">
      <selection activeCell="B6" sqref="B6"/>
    </sheetView>
  </sheetViews>
  <sheetFormatPr defaultRowHeight="14.4" x14ac:dyDescent="0.3"/>
  <cols>
    <col min="1" max="1" width="17.88671875" customWidth="1"/>
    <col min="2" max="2" width="17.33203125" customWidth="1"/>
    <col min="3" max="3" width="17.77734375" customWidth="1"/>
    <col min="4" max="4" width="17.5546875" customWidth="1"/>
    <col min="5" max="5" width="17.6640625" customWidth="1"/>
    <col min="6" max="6" width="15.77734375" customWidth="1"/>
    <col min="8" max="8" width="12" customWidth="1"/>
  </cols>
  <sheetData>
    <row r="1" spans="1:11" x14ac:dyDescent="0.3">
      <c r="A1" s="22" t="s">
        <v>81</v>
      </c>
    </row>
    <row r="2" spans="1:11" x14ac:dyDescent="0.3">
      <c r="A2" s="40" t="s">
        <v>75</v>
      </c>
      <c r="B2" s="40"/>
      <c r="C2" s="42" t="s">
        <v>76</v>
      </c>
      <c r="D2" s="42"/>
      <c r="E2" s="42"/>
      <c r="F2" s="43" t="s">
        <v>77</v>
      </c>
      <c r="G2" s="43"/>
      <c r="H2" s="43"/>
      <c r="I2" s="43"/>
      <c r="J2" s="43"/>
      <c r="K2" s="43"/>
    </row>
    <row r="3" spans="1:11" x14ac:dyDescent="0.3">
      <c r="A3" s="22"/>
    </row>
    <row r="4" spans="1:11" x14ac:dyDescent="0.3">
      <c r="A4" s="22" t="s">
        <v>78</v>
      </c>
    </row>
    <row r="5" spans="1:11" ht="28.8" x14ac:dyDescent="0.3"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</row>
    <row r="6" spans="1:11" ht="115.2" x14ac:dyDescent="0.3">
      <c r="A6" s="15"/>
      <c r="B6" s="16" t="s">
        <v>66</v>
      </c>
      <c r="C6" s="16" t="s">
        <v>39</v>
      </c>
      <c r="D6" s="16" t="s">
        <v>40</v>
      </c>
      <c r="E6" s="16" t="s">
        <v>79</v>
      </c>
      <c r="F6" s="1"/>
    </row>
    <row r="7" spans="1:11" x14ac:dyDescent="0.3">
      <c r="A7" t="s">
        <v>83</v>
      </c>
      <c r="B7" s="12">
        <v>666</v>
      </c>
      <c r="C7" s="12">
        <v>827</v>
      </c>
      <c r="D7" s="12">
        <v>2454</v>
      </c>
      <c r="E7" s="13">
        <v>0.1</v>
      </c>
      <c r="F7" s="20"/>
      <c r="H7" s="60"/>
    </row>
    <row r="8" spans="1:11" x14ac:dyDescent="0.3">
      <c r="A8" t="s">
        <v>82</v>
      </c>
      <c r="B8" s="12">
        <v>666</v>
      </c>
      <c r="C8" s="12">
        <v>827</v>
      </c>
      <c r="D8" s="12">
        <v>2454</v>
      </c>
      <c r="E8" s="61">
        <f>(B8+C8+D8)*E7</f>
        <v>394.70000000000005</v>
      </c>
      <c r="F8" s="20">
        <f>SUM(B8:E8)</f>
        <v>4341.7</v>
      </c>
      <c r="H8" s="60"/>
    </row>
    <row r="9" spans="1:11" x14ac:dyDescent="0.3">
      <c r="A9" t="s">
        <v>34</v>
      </c>
      <c r="B9" s="14">
        <f>B7*3</f>
        <v>1998</v>
      </c>
      <c r="C9" s="14">
        <f>C7*3</f>
        <v>2481</v>
      </c>
      <c r="D9" s="14">
        <f>D7</f>
        <v>2454</v>
      </c>
      <c r="E9" s="62">
        <f>(B9+C9+D9)*E7</f>
        <v>693.30000000000007</v>
      </c>
      <c r="F9" s="20">
        <f>SUM(B9:E9)</f>
        <v>7626.3</v>
      </c>
    </row>
    <row r="10" spans="1:11" x14ac:dyDescent="0.3">
      <c r="A10" t="s">
        <v>35</v>
      </c>
      <c r="B10" s="14">
        <f>B7*6</f>
        <v>3996</v>
      </c>
      <c r="C10" s="14">
        <f>C7*6</f>
        <v>4962</v>
      </c>
      <c r="D10" s="14">
        <f>D7</f>
        <v>2454</v>
      </c>
      <c r="E10" s="62">
        <f>(B10+C10+D10)*E7</f>
        <v>1141.2</v>
      </c>
      <c r="F10" s="20">
        <f t="shared" ref="F10:F12" si="0">SUM(B10:E10)</f>
        <v>12553.2</v>
      </c>
    </row>
    <row r="11" spans="1:11" x14ac:dyDescent="0.3">
      <c r="A11" t="s">
        <v>36</v>
      </c>
      <c r="B11" s="14">
        <f>B7*12</f>
        <v>7992</v>
      </c>
      <c r="C11" s="14">
        <f>C7*12</f>
        <v>9924</v>
      </c>
      <c r="D11" s="14">
        <f>D7</f>
        <v>2454</v>
      </c>
      <c r="E11" s="62">
        <f>(B11+C11+D11)*E7</f>
        <v>2037</v>
      </c>
      <c r="F11" s="20">
        <f t="shared" si="0"/>
        <v>22407</v>
      </c>
    </row>
    <row r="12" spans="1:11" x14ac:dyDescent="0.3">
      <c r="A12" t="s">
        <v>37</v>
      </c>
      <c r="B12" s="14">
        <f>B7*24</f>
        <v>15984</v>
      </c>
      <c r="C12" s="14">
        <f>C7*24</f>
        <v>19848</v>
      </c>
      <c r="D12" s="14">
        <f>D7</f>
        <v>2454</v>
      </c>
      <c r="E12" s="62">
        <f>(B12+C12+D12)*E7</f>
        <v>3828.6000000000004</v>
      </c>
      <c r="F12" s="20">
        <f t="shared" si="0"/>
        <v>42114.6</v>
      </c>
    </row>
    <row r="15" spans="1:11" x14ac:dyDescent="0.3">
      <c r="A15" s="30" t="s">
        <v>68</v>
      </c>
      <c r="B15" s="31"/>
      <c r="C15" s="31"/>
      <c r="D15" s="31"/>
      <c r="E15" s="31"/>
      <c r="F15" s="31"/>
    </row>
    <row r="16" spans="1:11" ht="28.8" x14ac:dyDescent="0.3">
      <c r="B16" s="1" t="s">
        <v>28</v>
      </c>
      <c r="C16" s="1" t="s">
        <v>29</v>
      </c>
      <c r="D16" s="1" t="s">
        <v>30</v>
      </c>
      <c r="E16" s="1" t="s">
        <v>31</v>
      </c>
      <c r="F16" s="1" t="s">
        <v>32</v>
      </c>
    </row>
    <row r="17" spans="1:6" ht="115.2" x14ac:dyDescent="0.3">
      <c r="A17" s="15"/>
      <c r="B17" s="54" t="s">
        <v>66</v>
      </c>
      <c r="C17" s="54" t="s">
        <v>39</v>
      </c>
      <c r="D17" s="54" t="s">
        <v>40</v>
      </c>
      <c r="E17" s="54" t="s">
        <v>79</v>
      </c>
      <c r="F17" s="1"/>
    </row>
    <row r="18" spans="1:6" x14ac:dyDescent="0.3">
      <c r="A18" t="s">
        <v>38</v>
      </c>
      <c r="B18" s="55">
        <v>666</v>
      </c>
      <c r="C18" s="55">
        <v>827</v>
      </c>
      <c r="D18" s="55">
        <v>2454</v>
      </c>
      <c r="E18" s="56">
        <v>0.1</v>
      </c>
      <c r="F18" s="19"/>
    </row>
    <row r="19" spans="1:6" x14ac:dyDescent="0.3">
      <c r="A19" t="s">
        <v>34</v>
      </c>
      <c r="B19" s="20">
        <f>B18*3</f>
        <v>1998</v>
      </c>
      <c r="C19" s="20">
        <f>C18*3</f>
        <v>2481</v>
      </c>
      <c r="D19" s="20">
        <f>D18</f>
        <v>2454</v>
      </c>
      <c r="E19" s="21">
        <f>(B19+C19+D19)*E18</f>
        <v>693.30000000000007</v>
      </c>
      <c r="F19" s="20">
        <f>SUM(B19:E19)</f>
        <v>7626.3</v>
      </c>
    </row>
    <row r="20" spans="1:6" x14ac:dyDescent="0.3">
      <c r="A20" t="s">
        <v>35</v>
      </c>
      <c r="B20" s="20">
        <f>B18*6</f>
        <v>3996</v>
      </c>
      <c r="C20" s="20">
        <f>C18*6</f>
        <v>4962</v>
      </c>
      <c r="D20" s="20">
        <f>D18</f>
        <v>2454</v>
      </c>
      <c r="E20" s="21">
        <f>(B20+C20+D20)*E18</f>
        <v>1141.2</v>
      </c>
      <c r="F20" s="20">
        <f t="shared" ref="F20:F22" si="1">SUM(B20:E20)</f>
        <v>12553.2</v>
      </c>
    </row>
    <row r="21" spans="1:6" x14ac:dyDescent="0.3">
      <c r="A21" t="s">
        <v>36</v>
      </c>
      <c r="B21" s="20">
        <f>B18*12</f>
        <v>7992</v>
      </c>
      <c r="C21" s="20">
        <f>C18*12</f>
        <v>9924</v>
      </c>
      <c r="D21" s="20">
        <f>D18</f>
        <v>2454</v>
      </c>
      <c r="E21" s="21">
        <f>(B21+C21+D21)*E18</f>
        <v>2037</v>
      </c>
      <c r="F21" s="20">
        <f t="shared" si="1"/>
        <v>22407</v>
      </c>
    </row>
    <row r="22" spans="1:6" x14ac:dyDescent="0.3">
      <c r="A22" t="s">
        <v>37</v>
      </c>
      <c r="B22" s="20">
        <f>B18*24</f>
        <v>15984</v>
      </c>
      <c r="C22" s="20">
        <f>C18*24</f>
        <v>19848</v>
      </c>
      <c r="D22" s="20">
        <f>D18</f>
        <v>2454</v>
      </c>
      <c r="E22" s="21">
        <f>(B22+C22+D22)*E18</f>
        <v>3828.6000000000004</v>
      </c>
      <c r="F22" s="20">
        <f t="shared" si="1"/>
        <v>42114.6</v>
      </c>
    </row>
    <row r="24" spans="1:6" x14ac:dyDescent="0.3">
      <c r="A24" s="32" t="s">
        <v>69</v>
      </c>
      <c r="B24" s="24"/>
      <c r="C24" s="24"/>
      <c r="D24" s="24"/>
      <c r="E24" s="24"/>
      <c r="F24" s="24"/>
    </row>
    <row r="25" spans="1:6" ht="28.8" x14ac:dyDescent="0.3">
      <c r="B25" s="1" t="s">
        <v>28</v>
      </c>
      <c r="C25" s="1" t="s">
        <v>29</v>
      </c>
      <c r="D25" s="1" t="s">
        <v>30</v>
      </c>
      <c r="E25" s="1" t="s">
        <v>31</v>
      </c>
      <c r="F25" s="1" t="s">
        <v>32</v>
      </c>
    </row>
    <row r="26" spans="1:6" ht="115.2" x14ac:dyDescent="0.3">
      <c r="A26" s="15"/>
      <c r="B26" s="54" t="s">
        <v>66</v>
      </c>
      <c r="C26" s="54" t="s">
        <v>39</v>
      </c>
      <c r="D26" s="54" t="s">
        <v>40</v>
      </c>
      <c r="E26" s="54" t="s">
        <v>79</v>
      </c>
      <c r="F26" s="1"/>
    </row>
    <row r="27" spans="1:6" x14ac:dyDescent="0.3">
      <c r="A27" t="s">
        <v>38</v>
      </c>
      <c r="B27" s="55">
        <v>666</v>
      </c>
      <c r="C27" s="55">
        <v>827</v>
      </c>
      <c r="D27" s="55">
        <v>2454</v>
      </c>
      <c r="E27" s="56">
        <v>0.1</v>
      </c>
      <c r="F27" s="19"/>
    </row>
    <row r="28" spans="1:6" x14ac:dyDescent="0.3">
      <c r="A28" t="s">
        <v>34</v>
      </c>
      <c r="B28" s="20">
        <f>B27*3</f>
        <v>1998</v>
      </c>
      <c r="C28" s="20">
        <f>C27*3</f>
        <v>2481</v>
      </c>
      <c r="D28" s="20">
        <f>D27</f>
        <v>2454</v>
      </c>
      <c r="E28" s="21">
        <f>(B28+C28+D28)*E27</f>
        <v>693.30000000000007</v>
      </c>
      <c r="F28" s="20">
        <f>SUM(B28:E28)</f>
        <v>7626.3</v>
      </c>
    </row>
    <row r="29" spans="1:6" x14ac:dyDescent="0.3">
      <c r="A29" t="s">
        <v>35</v>
      </c>
      <c r="B29" s="20">
        <f>B27*6</f>
        <v>3996</v>
      </c>
      <c r="C29" s="20">
        <f>C27*6</f>
        <v>4962</v>
      </c>
      <c r="D29" s="20">
        <f>D27</f>
        <v>2454</v>
      </c>
      <c r="E29" s="21">
        <f>(B29+C29+D29)*E27</f>
        <v>1141.2</v>
      </c>
      <c r="F29" s="20">
        <f t="shared" ref="F29:F31" si="2">SUM(B29:E29)</f>
        <v>12553.2</v>
      </c>
    </row>
    <row r="30" spans="1:6" x14ac:dyDescent="0.3">
      <c r="A30" t="s">
        <v>36</v>
      </c>
      <c r="B30" s="20">
        <f>B27*12</f>
        <v>7992</v>
      </c>
      <c r="C30" s="20">
        <f>C27*12</f>
        <v>9924</v>
      </c>
      <c r="D30" s="20">
        <f>D27</f>
        <v>2454</v>
      </c>
      <c r="E30" s="21">
        <f>(B30+C30+D30)*E27</f>
        <v>2037</v>
      </c>
      <c r="F30" s="20">
        <f t="shared" si="2"/>
        <v>22407</v>
      </c>
    </row>
    <row r="31" spans="1:6" x14ac:dyDescent="0.3">
      <c r="A31" t="s">
        <v>37</v>
      </c>
      <c r="B31" s="20">
        <f>B27*24</f>
        <v>15984</v>
      </c>
      <c r="C31" s="20">
        <f>C27*24</f>
        <v>19848</v>
      </c>
      <c r="D31" s="20">
        <f>D27</f>
        <v>2454</v>
      </c>
      <c r="E31" s="21">
        <f>(B31+C31+D31)*E27</f>
        <v>3828.6000000000004</v>
      </c>
      <c r="F31" s="20">
        <f t="shared" si="2"/>
        <v>42114.6</v>
      </c>
    </row>
    <row r="33" spans="1:6" x14ac:dyDescent="0.3">
      <c r="A33" s="33" t="s">
        <v>70</v>
      </c>
      <c r="B33" s="25"/>
      <c r="C33" s="25"/>
      <c r="D33" s="25"/>
      <c r="E33" s="25"/>
      <c r="F33" s="25"/>
    </row>
    <row r="34" spans="1:6" ht="28.8" x14ac:dyDescent="0.3">
      <c r="B34" s="1" t="s">
        <v>28</v>
      </c>
      <c r="C34" s="1" t="s">
        <v>29</v>
      </c>
      <c r="D34" s="1" t="s">
        <v>30</v>
      </c>
      <c r="E34" s="1" t="s">
        <v>31</v>
      </c>
      <c r="F34" s="1" t="s">
        <v>32</v>
      </c>
    </row>
    <row r="35" spans="1:6" ht="115.2" x14ac:dyDescent="0.3">
      <c r="A35" s="15"/>
      <c r="B35" s="57" t="s">
        <v>66</v>
      </c>
      <c r="C35" s="57" t="s">
        <v>39</v>
      </c>
      <c r="D35" s="57" t="s">
        <v>40</v>
      </c>
      <c r="E35" s="57" t="s">
        <v>79</v>
      </c>
      <c r="F35" s="1"/>
    </row>
    <row r="36" spans="1:6" x14ac:dyDescent="0.3">
      <c r="A36" t="s">
        <v>38</v>
      </c>
      <c r="B36" s="58">
        <v>666</v>
      </c>
      <c r="C36" s="58">
        <v>827</v>
      </c>
      <c r="D36" s="58">
        <v>2454</v>
      </c>
      <c r="E36" s="59">
        <v>0.1</v>
      </c>
      <c r="F36" s="19"/>
    </row>
    <row r="37" spans="1:6" x14ac:dyDescent="0.3">
      <c r="A37" t="s">
        <v>34</v>
      </c>
      <c r="B37" s="20">
        <f>B36*3</f>
        <v>1998</v>
      </c>
      <c r="C37" s="20">
        <f>C36*3</f>
        <v>2481</v>
      </c>
      <c r="D37" s="20">
        <f>D36</f>
        <v>2454</v>
      </c>
      <c r="E37" s="21">
        <f>(B37+C37+D37)*E36</f>
        <v>693.30000000000007</v>
      </c>
      <c r="F37" s="20">
        <f>SUM(B37:E37)</f>
        <v>7626.3</v>
      </c>
    </row>
    <row r="38" spans="1:6" x14ac:dyDescent="0.3">
      <c r="A38" t="s">
        <v>35</v>
      </c>
      <c r="B38" s="20">
        <f>B36*6</f>
        <v>3996</v>
      </c>
      <c r="C38" s="20">
        <f>C36*6</f>
        <v>4962</v>
      </c>
      <c r="D38" s="20">
        <f>D36</f>
        <v>2454</v>
      </c>
      <c r="E38" s="21">
        <f>(B38+C38+D38)*E36</f>
        <v>1141.2</v>
      </c>
      <c r="F38" s="20">
        <f t="shared" ref="F38:F40" si="3">SUM(B38:E38)</f>
        <v>12553.2</v>
      </c>
    </row>
    <row r="39" spans="1:6" x14ac:dyDescent="0.3">
      <c r="A39" t="s">
        <v>36</v>
      </c>
      <c r="B39" s="20">
        <f>B36*12</f>
        <v>7992</v>
      </c>
      <c r="C39" s="20">
        <f>C36*12</f>
        <v>9924</v>
      </c>
      <c r="D39" s="20">
        <f>D36</f>
        <v>2454</v>
      </c>
      <c r="E39" s="21">
        <f>(B39+C39+D39)*E36</f>
        <v>2037</v>
      </c>
      <c r="F39" s="20">
        <f t="shared" si="3"/>
        <v>22407</v>
      </c>
    </row>
    <row r="40" spans="1:6" x14ac:dyDescent="0.3">
      <c r="A40" t="s">
        <v>37</v>
      </c>
      <c r="B40" s="20">
        <f>B36*24</f>
        <v>15984</v>
      </c>
      <c r="C40" s="20">
        <f>C36*24</f>
        <v>19848</v>
      </c>
      <c r="D40" s="20">
        <f>D36</f>
        <v>2454</v>
      </c>
      <c r="E40" s="21">
        <f>(B40+C40+D40)*E36</f>
        <v>3828.6000000000004</v>
      </c>
      <c r="F40" s="20">
        <f t="shared" si="3"/>
        <v>42114.6</v>
      </c>
    </row>
    <row r="42" spans="1:6" x14ac:dyDescent="0.3">
      <c r="A42" s="34" t="s">
        <v>71</v>
      </c>
      <c r="B42" s="26"/>
      <c r="C42" s="26"/>
      <c r="D42" s="26"/>
      <c r="E42" s="26"/>
      <c r="F42" s="26"/>
    </row>
    <row r="43" spans="1:6" ht="28.8" x14ac:dyDescent="0.3">
      <c r="B43" s="1" t="s">
        <v>28</v>
      </c>
      <c r="C43" s="1" t="s">
        <v>29</v>
      </c>
      <c r="D43" s="1" t="s">
        <v>30</v>
      </c>
      <c r="E43" s="1" t="s">
        <v>31</v>
      </c>
      <c r="F43" s="1" t="s">
        <v>32</v>
      </c>
    </row>
    <row r="44" spans="1:6" ht="115.2" x14ac:dyDescent="0.3">
      <c r="A44" s="15"/>
      <c r="B44" s="54" t="s">
        <v>66</v>
      </c>
      <c r="C44" s="54" t="s">
        <v>39</v>
      </c>
      <c r="D44" s="54" t="s">
        <v>40</v>
      </c>
      <c r="E44" s="54" t="s">
        <v>79</v>
      </c>
      <c r="F44" s="1"/>
    </row>
    <row r="45" spans="1:6" x14ac:dyDescent="0.3">
      <c r="A45" t="s">
        <v>38</v>
      </c>
      <c r="B45" s="55">
        <v>666</v>
      </c>
      <c r="C45" s="55">
        <v>827</v>
      </c>
      <c r="D45" s="55">
        <v>2454</v>
      </c>
      <c r="E45" s="56">
        <v>0.1</v>
      </c>
      <c r="F45" s="19"/>
    </row>
    <row r="46" spans="1:6" x14ac:dyDescent="0.3">
      <c r="A46" t="s">
        <v>34</v>
      </c>
      <c r="B46" s="20">
        <f>B45*3</f>
        <v>1998</v>
      </c>
      <c r="C46" s="20">
        <f>C45*3</f>
        <v>2481</v>
      </c>
      <c r="D46" s="20">
        <f>D45</f>
        <v>2454</v>
      </c>
      <c r="E46" s="21">
        <f>(B46+C46+D46)*E45</f>
        <v>693.30000000000007</v>
      </c>
      <c r="F46" s="20">
        <f>SUM(B46:E46)</f>
        <v>7626.3</v>
      </c>
    </row>
    <row r="47" spans="1:6" x14ac:dyDescent="0.3">
      <c r="A47" t="s">
        <v>35</v>
      </c>
      <c r="B47" s="20">
        <f>B45*6</f>
        <v>3996</v>
      </c>
      <c r="C47" s="20">
        <f>C45*6</f>
        <v>4962</v>
      </c>
      <c r="D47" s="20">
        <f>D45</f>
        <v>2454</v>
      </c>
      <c r="E47" s="21">
        <f>(B47+C47+D47)*E45</f>
        <v>1141.2</v>
      </c>
      <c r="F47" s="20">
        <f t="shared" ref="F47:F49" si="4">SUM(B47:E47)</f>
        <v>12553.2</v>
      </c>
    </row>
    <row r="48" spans="1:6" x14ac:dyDescent="0.3">
      <c r="A48" t="s">
        <v>36</v>
      </c>
      <c r="B48" s="20">
        <f>B45*12</f>
        <v>7992</v>
      </c>
      <c r="C48" s="20">
        <f>C45*12</f>
        <v>9924</v>
      </c>
      <c r="D48" s="20">
        <f>D45</f>
        <v>2454</v>
      </c>
      <c r="E48" s="21">
        <f>(B48+C48+D48)*E45</f>
        <v>2037</v>
      </c>
      <c r="F48" s="20">
        <f t="shared" si="4"/>
        <v>22407</v>
      </c>
    </row>
    <row r="49" spans="1:6" x14ac:dyDescent="0.3">
      <c r="A49" t="s">
        <v>37</v>
      </c>
      <c r="B49" s="20">
        <f>B45*24</f>
        <v>15984</v>
      </c>
      <c r="C49" s="20">
        <f>C45*24</f>
        <v>19848</v>
      </c>
      <c r="D49" s="20">
        <f>D45</f>
        <v>2454</v>
      </c>
      <c r="E49" s="21">
        <f>(B49+C49+D49)*E45</f>
        <v>3828.6000000000004</v>
      </c>
      <c r="F49" s="20">
        <f t="shared" si="4"/>
        <v>42114.6</v>
      </c>
    </row>
    <row r="51" spans="1:6" x14ac:dyDescent="0.3">
      <c r="A51" s="35" t="s">
        <v>72</v>
      </c>
      <c r="B51" s="27"/>
      <c r="C51" s="27"/>
      <c r="D51" s="27"/>
      <c r="E51" s="27"/>
      <c r="F51" s="27"/>
    </row>
    <row r="52" spans="1:6" ht="28.8" x14ac:dyDescent="0.3">
      <c r="B52" s="1" t="s">
        <v>28</v>
      </c>
      <c r="C52" s="1" t="s">
        <v>29</v>
      </c>
      <c r="D52" s="1" t="s">
        <v>30</v>
      </c>
      <c r="E52" s="1" t="s">
        <v>31</v>
      </c>
      <c r="F52" s="1" t="s">
        <v>32</v>
      </c>
    </row>
    <row r="53" spans="1:6" ht="115.2" x14ac:dyDescent="0.3">
      <c r="A53" s="15"/>
      <c r="B53" s="54" t="s">
        <v>66</v>
      </c>
      <c r="C53" s="54" t="s">
        <v>39</v>
      </c>
      <c r="D53" s="54" t="s">
        <v>40</v>
      </c>
      <c r="E53" s="54" t="s">
        <v>79</v>
      </c>
      <c r="F53" s="1"/>
    </row>
    <row r="54" spans="1:6" x14ac:dyDescent="0.3">
      <c r="A54" t="s">
        <v>38</v>
      </c>
      <c r="B54" s="55">
        <v>666</v>
      </c>
      <c r="C54" s="55">
        <v>827</v>
      </c>
      <c r="D54" s="55">
        <v>2454</v>
      </c>
      <c r="E54" s="56">
        <v>0.1</v>
      </c>
      <c r="F54" s="19"/>
    </row>
    <row r="55" spans="1:6" x14ac:dyDescent="0.3">
      <c r="A55" t="s">
        <v>34</v>
      </c>
      <c r="B55" s="20">
        <f>B54*3</f>
        <v>1998</v>
      </c>
      <c r="C55" s="20">
        <f>C54*3</f>
        <v>2481</v>
      </c>
      <c r="D55" s="20">
        <f>D54</f>
        <v>2454</v>
      </c>
      <c r="E55" s="21">
        <f>(B55+C55+D55)*E54</f>
        <v>693.30000000000007</v>
      </c>
      <c r="F55" s="20">
        <f>SUM(B55:E55)</f>
        <v>7626.3</v>
      </c>
    </row>
    <row r="56" spans="1:6" x14ac:dyDescent="0.3">
      <c r="A56" t="s">
        <v>35</v>
      </c>
      <c r="B56" s="20">
        <f>B54*6</f>
        <v>3996</v>
      </c>
      <c r="C56" s="20">
        <f>C54*6</f>
        <v>4962</v>
      </c>
      <c r="D56" s="20">
        <f>D54</f>
        <v>2454</v>
      </c>
      <c r="E56" s="21">
        <f>(B56+C56+D56)*E54</f>
        <v>1141.2</v>
      </c>
      <c r="F56" s="20">
        <f t="shared" ref="F56:F58" si="5">SUM(B56:E56)</f>
        <v>12553.2</v>
      </c>
    </row>
    <row r="57" spans="1:6" x14ac:dyDescent="0.3">
      <c r="A57" t="s">
        <v>36</v>
      </c>
      <c r="B57" s="20">
        <f>B54*12</f>
        <v>7992</v>
      </c>
      <c r="C57" s="20">
        <f>C54*12</f>
        <v>9924</v>
      </c>
      <c r="D57" s="20">
        <f>D54</f>
        <v>2454</v>
      </c>
      <c r="E57" s="21">
        <f>(B57+C57+D57)*E54</f>
        <v>2037</v>
      </c>
      <c r="F57" s="20">
        <f t="shared" si="5"/>
        <v>22407</v>
      </c>
    </row>
    <row r="58" spans="1:6" x14ac:dyDescent="0.3">
      <c r="A58" t="s">
        <v>37</v>
      </c>
      <c r="B58" s="20">
        <f>B54*24</f>
        <v>15984</v>
      </c>
      <c r="C58" s="20">
        <f>C54*24</f>
        <v>19848</v>
      </c>
      <c r="D58" s="20">
        <f>D54</f>
        <v>2454</v>
      </c>
      <c r="E58" s="21">
        <f>(B58+C58+D58)*E54</f>
        <v>3828.6000000000004</v>
      </c>
      <c r="F58" s="20">
        <f t="shared" si="5"/>
        <v>42114.6</v>
      </c>
    </row>
    <row r="60" spans="1:6" x14ac:dyDescent="0.3">
      <c r="A60" s="36" t="s">
        <v>73</v>
      </c>
      <c r="B60" s="28"/>
      <c r="C60" s="28"/>
      <c r="D60" s="28"/>
      <c r="E60" s="28"/>
      <c r="F60" s="28"/>
    </row>
    <row r="61" spans="1:6" ht="28.8" x14ac:dyDescent="0.3">
      <c r="B61" s="1" t="s">
        <v>28</v>
      </c>
      <c r="C61" s="1" t="s">
        <v>29</v>
      </c>
      <c r="D61" s="1" t="s">
        <v>30</v>
      </c>
      <c r="E61" s="1" t="s">
        <v>31</v>
      </c>
      <c r="F61" s="1" t="s">
        <v>32</v>
      </c>
    </row>
    <row r="62" spans="1:6" ht="115.2" x14ac:dyDescent="0.3">
      <c r="A62" s="15"/>
      <c r="B62" s="54" t="s">
        <v>66</v>
      </c>
      <c r="C62" s="54" t="s">
        <v>39</v>
      </c>
      <c r="D62" s="54" t="s">
        <v>40</v>
      </c>
      <c r="E62" s="54" t="s">
        <v>79</v>
      </c>
      <c r="F62" s="1"/>
    </row>
    <row r="63" spans="1:6" x14ac:dyDescent="0.3">
      <c r="A63" t="s">
        <v>38</v>
      </c>
      <c r="B63" s="55">
        <v>666</v>
      </c>
      <c r="C63" s="55">
        <v>827</v>
      </c>
      <c r="D63" s="55">
        <v>2454</v>
      </c>
      <c r="E63" s="56">
        <v>0.1</v>
      </c>
      <c r="F63" s="19"/>
    </row>
    <row r="64" spans="1:6" x14ac:dyDescent="0.3">
      <c r="A64" t="s">
        <v>34</v>
      </c>
      <c r="B64" s="20">
        <f>B63*3</f>
        <v>1998</v>
      </c>
      <c r="C64" s="20">
        <f>C63*3</f>
        <v>2481</v>
      </c>
      <c r="D64" s="20">
        <f>D63</f>
        <v>2454</v>
      </c>
      <c r="E64" s="21">
        <f>(B64+C64+D64)*E63</f>
        <v>693.30000000000007</v>
      </c>
      <c r="F64" s="20">
        <f>SUM(B64:E64)</f>
        <v>7626.3</v>
      </c>
    </row>
    <row r="65" spans="1:6" x14ac:dyDescent="0.3">
      <c r="A65" t="s">
        <v>35</v>
      </c>
      <c r="B65" s="20">
        <f>B63*6</f>
        <v>3996</v>
      </c>
      <c r="C65" s="20">
        <f>C63*6</f>
        <v>4962</v>
      </c>
      <c r="D65" s="20">
        <f>D63</f>
        <v>2454</v>
      </c>
      <c r="E65" s="21">
        <f>(B65+C65+D65)*E63</f>
        <v>1141.2</v>
      </c>
      <c r="F65" s="20">
        <f t="shared" ref="F65:F67" si="6">SUM(B65:E65)</f>
        <v>12553.2</v>
      </c>
    </row>
    <row r="66" spans="1:6" x14ac:dyDescent="0.3">
      <c r="A66" t="s">
        <v>36</v>
      </c>
      <c r="B66" s="20">
        <f>B63*12</f>
        <v>7992</v>
      </c>
      <c r="C66" s="20">
        <f>C63*12</f>
        <v>9924</v>
      </c>
      <c r="D66" s="20">
        <f>D63</f>
        <v>2454</v>
      </c>
      <c r="E66" s="21">
        <f>(B66+C66+D66)*E63</f>
        <v>2037</v>
      </c>
      <c r="F66" s="20">
        <f t="shared" si="6"/>
        <v>22407</v>
      </c>
    </row>
    <row r="67" spans="1:6" x14ac:dyDescent="0.3">
      <c r="A67" t="s">
        <v>37</v>
      </c>
      <c r="B67" s="20">
        <f>B63*24</f>
        <v>15984</v>
      </c>
      <c r="C67" s="20">
        <f>C63*24</f>
        <v>19848</v>
      </c>
      <c r="D67" s="20">
        <f>D63</f>
        <v>2454</v>
      </c>
      <c r="E67" s="21">
        <f>(B67+C67+D67)*E63</f>
        <v>3828.6000000000004</v>
      </c>
      <c r="F67" s="20">
        <f t="shared" si="6"/>
        <v>42114.6</v>
      </c>
    </row>
    <row r="69" spans="1:6" x14ac:dyDescent="0.3">
      <c r="A69" s="37" t="s">
        <v>74</v>
      </c>
      <c r="B69" s="29"/>
      <c r="C69" s="29"/>
      <c r="D69" s="29"/>
      <c r="E69" s="29"/>
      <c r="F69" s="29"/>
    </row>
    <row r="70" spans="1:6" ht="28.8" x14ac:dyDescent="0.3">
      <c r="B70" s="1" t="s">
        <v>28</v>
      </c>
      <c r="C70" s="1" t="s">
        <v>29</v>
      </c>
      <c r="D70" s="1" t="s">
        <v>30</v>
      </c>
      <c r="E70" s="1" t="s">
        <v>31</v>
      </c>
      <c r="F70" s="1" t="s">
        <v>32</v>
      </c>
    </row>
    <row r="71" spans="1:6" ht="115.2" x14ac:dyDescent="0.3">
      <c r="A71" s="15"/>
      <c r="B71" s="54" t="s">
        <v>66</v>
      </c>
      <c r="C71" s="54" t="s">
        <v>39</v>
      </c>
      <c r="D71" s="54" t="s">
        <v>40</v>
      </c>
      <c r="E71" s="54" t="s">
        <v>41</v>
      </c>
      <c r="F71" s="1"/>
    </row>
    <row r="72" spans="1:6" x14ac:dyDescent="0.3">
      <c r="A72" t="s">
        <v>38</v>
      </c>
      <c r="B72" s="55">
        <v>666</v>
      </c>
      <c r="C72" s="55">
        <v>827</v>
      </c>
      <c r="D72" s="55">
        <v>2454</v>
      </c>
      <c r="E72" s="56">
        <v>0.1</v>
      </c>
      <c r="F72" s="19"/>
    </row>
    <row r="73" spans="1:6" x14ac:dyDescent="0.3">
      <c r="A73" t="s">
        <v>34</v>
      </c>
      <c r="B73" s="20">
        <f>B72*3</f>
        <v>1998</v>
      </c>
      <c r="C73" s="20">
        <f>C72*3</f>
        <v>2481</v>
      </c>
      <c r="D73" s="20">
        <f>D72</f>
        <v>2454</v>
      </c>
      <c r="E73" s="21">
        <f>(B73+C73+D73)*E72</f>
        <v>693.30000000000007</v>
      </c>
      <c r="F73" s="20">
        <f>SUM(B73:E73)</f>
        <v>7626.3</v>
      </c>
    </row>
    <row r="74" spans="1:6" x14ac:dyDescent="0.3">
      <c r="A74" t="s">
        <v>35</v>
      </c>
      <c r="B74" s="20">
        <f>B72*6</f>
        <v>3996</v>
      </c>
      <c r="C74" s="20">
        <f>C72*6</f>
        <v>4962</v>
      </c>
      <c r="D74" s="20">
        <f>D72</f>
        <v>2454</v>
      </c>
      <c r="E74" s="21">
        <f>(B74+C74+D74)*E72</f>
        <v>1141.2</v>
      </c>
      <c r="F74" s="20">
        <f t="shared" ref="F74:F76" si="7">SUM(B74:E74)</f>
        <v>12553.2</v>
      </c>
    </row>
    <row r="75" spans="1:6" x14ac:dyDescent="0.3">
      <c r="A75" t="s">
        <v>36</v>
      </c>
      <c r="B75" s="20">
        <f>B72*12</f>
        <v>7992</v>
      </c>
      <c r="C75" s="20">
        <f>C72*12</f>
        <v>9924</v>
      </c>
      <c r="D75" s="20">
        <f>D72</f>
        <v>2454</v>
      </c>
      <c r="E75" s="21">
        <f>(B75+C75+D75)*E72</f>
        <v>2037</v>
      </c>
      <c r="F75" s="20">
        <f t="shared" si="7"/>
        <v>22407</v>
      </c>
    </row>
    <row r="76" spans="1:6" x14ac:dyDescent="0.3">
      <c r="A76" t="s">
        <v>37</v>
      </c>
      <c r="B76" s="20">
        <f>B72*24</f>
        <v>15984</v>
      </c>
      <c r="C76" s="20">
        <f>C72*24</f>
        <v>19848</v>
      </c>
      <c r="D76" s="20">
        <f>D72</f>
        <v>2454</v>
      </c>
      <c r="E76" s="21">
        <f>(B76+C76+D76)*E72</f>
        <v>3828.6000000000004</v>
      </c>
      <c r="F76" s="20">
        <f t="shared" si="7"/>
        <v>42114.6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"/>
  <sheetViews>
    <sheetView workbookViewId="0">
      <selection activeCell="E6" sqref="E6"/>
    </sheetView>
  </sheetViews>
  <sheetFormatPr defaultRowHeight="14.4" x14ac:dyDescent="0.3"/>
  <cols>
    <col min="1" max="2" width="17.6640625" customWidth="1"/>
    <col min="3" max="8" width="17.6640625" style="44" customWidth="1"/>
    <col min="9" max="14" width="17.77734375" style="44" customWidth="1"/>
    <col min="15" max="15" width="19.21875" customWidth="1"/>
  </cols>
  <sheetData>
    <row r="1" spans="1:16" x14ac:dyDescent="0.3">
      <c r="A1" s="45" t="s">
        <v>80</v>
      </c>
    </row>
    <row r="2" spans="1:16" x14ac:dyDescent="0.3">
      <c r="A2" s="40" t="s">
        <v>75</v>
      </c>
      <c r="B2" s="40"/>
      <c r="C2" s="44" t="s">
        <v>76</v>
      </c>
      <c r="F2" s="44" t="s">
        <v>77</v>
      </c>
    </row>
    <row r="3" spans="1:16" s="44" customFormat="1" ht="33.450000000000003" customHeight="1" thickBot="1" x14ac:dyDescent="0.35"/>
    <row r="4" spans="1:16" x14ac:dyDescent="0.3">
      <c r="A4" s="15"/>
      <c r="C4" s="63" t="s">
        <v>54</v>
      </c>
      <c r="D4" s="64"/>
      <c r="E4" s="65"/>
      <c r="F4" s="63" t="s">
        <v>56</v>
      </c>
      <c r="G4" s="64"/>
      <c r="H4" s="65"/>
      <c r="I4" s="66" t="s">
        <v>58</v>
      </c>
      <c r="J4" s="67"/>
      <c r="K4" s="68"/>
      <c r="L4" s="66" t="s">
        <v>60</v>
      </c>
      <c r="M4" s="67"/>
      <c r="N4" s="68"/>
    </row>
    <row r="5" spans="1:16" s="1" customFormat="1" ht="43.2" x14ac:dyDescent="0.3">
      <c r="A5" s="1" t="s">
        <v>0</v>
      </c>
      <c r="B5" s="1" t="str">
        <f>'Total # By Region who need RRH'!J3</f>
        <v>% of Total Homeless who may need RRH</v>
      </c>
      <c r="C5" s="46" t="s">
        <v>44</v>
      </c>
      <c r="D5" s="47" t="s">
        <v>48</v>
      </c>
      <c r="E5" s="48" t="s">
        <v>53</v>
      </c>
      <c r="F5" s="46" t="s">
        <v>46</v>
      </c>
      <c r="G5" s="47" t="s">
        <v>49</v>
      </c>
      <c r="H5" s="48" t="s">
        <v>55</v>
      </c>
      <c r="I5" s="46" t="s">
        <v>43</v>
      </c>
      <c r="J5" s="47" t="s">
        <v>50</v>
      </c>
      <c r="K5" s="48" t="s">
        <v>57</v>
      </c>
      <c r="L5" s="46" t="s">
        <v>47</v>
      </c>
      <c r="M5" s="47" t="s">
        <v>51</v>
      </c>
      <c r="N5" s="48" t="s">
        <v>59</v>
      </c>
      <c r="O5" s="1" t="s">
        <v>33</v>
      </c>
      <c r="P5" s="1" t="s">
        <v>67</v>
      </c>
    </row>
    <row r="6" spans="1:16" s="1" customFormat="1" ht="73.05" customHeight="1" x14ac:dyDescent="0.3">
      <c r="B6" s="1" t="s">
        <v>42</v>
      </c>
      <c r="C6" s="46" t="s">
        <v>45</v>
      </c>
      <c r="D6" s="47" t="s">
        <v>52</v>
      </c>
      <c r="E6" s="48" t="s">
        <v>61</v>
      </c>
      <c r="F6" s="46" t="s">
        <v>45</v>
      </c>
      <c r="G6" s="47" t="s">
        <v>52</v>
      </c>
      <c r="H6" s="48" t="s">
        <v>62</v>
      </c>
      <c r="I6" s="46" t="s">
        <v>45</v>
      </c>
      <c r="J6" s="47" t="s">
        <v>52</v>
      </c>
      <c r="K6" s="48" t="s">
        <v>63</v>
      </c>
      <c r="L6" s="46" t="s">
        <v>45</v>
      </c>
      <c r="M6" s="47" t="s">
        <v>52</v>
      </c>
      <c r="N6" s="48" t="s">
        <v>64</v>
      </c>
      <c r="O6" s="1" t="s">
        <v>65</v>
      </c>
    </row>
    <row r="7" spans="1:16" x14ac:dyDescent="0.3">
      <c r="A7" s="31" t="s">
        <v>7</v>
      </c>
      <c r="B7" s="49">
        <f>'Total # By Region who need RRH'!J5</f>
        <v>540.83189655172418</v>
      </c>
      <c r="C7" s="17">
        <f>'RRH Cost Assumptions'!F19</f>
        <v>7626.3</v>
      </c>
      <c r="D7" s="52">
        <v>0.4</v>
      </c>
      <c r="E7" s="50">
        <f>(D7*B7)*C7</f>
        <v>1649818.5170689656</v>
      </c>
      <c r="F7" s="17">
        <f>'RRH Cost Assumptions'!F20</f>
        <v>12553.2</v>
      </c>
      <c r="G7" s="52">
        <v>0.3</v>
      </c>
      <c r="H7" s="50">
        <f>(G7*B7)*F7</f>
        <v>2036751.2891379313</v>
      </c>
      <c r="I7" s="17">
        <f>'RRH Cost Assumptions'!F21</f>
        <v>22407</v>
      </c>
      <c r="J7" s="52">
        <v>0.2</v>
      </c>
      <c r="K7" s="50">
        <f>(J7*B7)*I7</f>
        <v>2423684.0612068968</v>
      </c>
      <c r="L7" s="17">
        <f>'RRH Cost Assumptions'!F22</f>
        <v>42114.6</v>
      </c>
      <c r="M7" s="52">
        <v>0.1</v>
      </c>
      <c r="N7" s="50">
        <f>(M7*B7)*L7</f>
        <v>2277691.8990517245</v>
      </c>
      <c r="O7" s="20">
        <f>N7+K7+H7+E7</f>
        <v>8387945.7664655186</v>
      </c>
      <c r="P7" s="38">
        <f>O7/O15</f>
        <v>9.0197295707228411E-2</v>
      </c>
    </row>
    <row r="8" spans="1:16" x14ac:dyDescent="0.3">
      <c r="A8" s="24" t="s">
        <v>8</v>
      </c>
      <c r="B8" s="49">
        <f>'Total # By Region who need RRH'!J6</f>
        <v>377.08098591549299</v>
      </c>
      <c r="C8" s="17">
        <f>'RRH Cost Assumptions'!F28</f>
        <v>7626.3</v>
      </c>
      <c r="D8" s="52">
        <v>0.4</v>
      </c>
      <c r="E8" s="50">
        <f t="shared" ref="E8:E13" si="0">(D8*B8)*C8</f>
        <v>1150293.0891549299</v>
      </c>
      <c r="F8" s="17">
        <f>'RRH Cost Assumptions'!F29</f>
        <v>12553.2</v>
      </c>
      <c r="G8" s="52">
        <v>0.3</v>
      </c>
      <c r="H8" s="50">
        <f t="shared" ref="H8:H13" si="1">(G8*B8)*F8</f>
        <v>1420071.90971831</v>
      </c>
      <c r="I8" s="17">
        <f>'RRH Cost Assumptions'!F30</f>
        <v>22407</v>
      </c>
      <c r="J8" s="52">
        <v>0.2</v>
      </c>
      <c r="K8" s="50">
        <f t="shared" ref="K8:K13" si="2">(J8*B8)*I8</f>
        <v>1689850.7302816904</v>
      </c>
      <c r="L8" s="17">
        <f>'RRH Cost Assumptions'!F31</f>
        <v>42114.6</v>
      </c>
      <c r="M8" s="52">
        <v>0.1</v>
      </c>
      <c r="N8" s="50">
        <f t="shared" ref="N8:N13" si="3">(M8*B8)*L8</f>
        <v>1588061.4889436623</v>
      </c>
      <c r="O8" s="20">
        <f t="shared" ref="O8:O13" si="4">N8+K8+H8+E8</f>
        <v>5848277.2180985929</v>
      </c>
      <c r="P8" s="38">
        <f>O8/O15</f>
        <v>6.2887720582027726E-2</v>
      </c>
    </row>
    <row r="9" spans="1:16" x14ac:dyDescent="0.3">
      <c r="A9" s="25" t="s">
        <v>9</v>
      </c>
      <c r="B9" s="49">
        <f>'Total # By Region who need RRH'!J7</f>
        <v>631.9325153374233</v>
      </c>
      <c r="C9" s="17">
        <f>'RRH Cost Assumptions'!F37</f>
        <v>7626.3</v>
      </c>
      <c r="D9" s="52">
        <v>0.4</v>
      </c>
      <c r="E9" s="50">
        <f t="shared" si="0"/>
        <v>1927722.7766871166</v>
      </c>
      <c r="F9" s="17">
        <f>'RRH Cost Assumptions'!F38</f>
        <v>12553.2</v>
      </c>
      <c r="G9" s="52">
        <v>0.3</v>
      </c>
      <c r="H9" s="50">
        <f t="shared" si="1"/>
        <v>2379832.5754601229</v>
      </c>
      <c r="I9" s="17">
        <f>'RRH Cost Assumptions'!F39</f>
        <v>22407</v>
      </c>
      <c r="J9" s="52">
        <v>0.2</v>
      </c>
      <c r="K9" s="50">
        <f t="shared" si="2"/>
        <v>2831942.374233129</v>
      </c>
      <c r="L9" s="17">
        <f>'RRH Cost Assumptions'!F40</f>
        <v>42114.6</v>
      </c>
      <c r="M9" s="52">
        <v>0.1</v>
      </c>
      <c r="N9" s="50">
        <f t="shared" si="3"/>
        <v>2661358.5110429446</v>
      </c>
      <c r="O9" s="20">
        <f t="shared" si="4"/>
        <v>9800856.2374233138</v>
      </c>
      <c r="P9" s="38">
        <f>O9/O15</f>
        <v>0.10539061086507309</v>
      </c>
    </row>
    <row r="10" spans="1:16" x14ac:dyDescent="0.3">
      <c r="A10" s="26" t="s">
        <v>10</v>
      </c>
      <c r="B10" s="49">
        <f>'Total # By Region who need RRH'!J8</f>
        <v>1052.2477168949772</v>
      </c>
      <c r="C10" s="17">
        <f>'RRH Cost Assumptions'!F46</f>
        <v>7626.3</v>
      </c>
      <c r="D10" s="52">
        <v>0.4</v>
      </c>
      <c r="E10" s="50">
        <f t="shared" si="0"/>
        <v>3209902.705342466</v>
      </c>
      <c r="F10" s="17">
        <f>'RRH Cost Assumptions'!F47</f>
        <v>12553.2</v>
      </c>
      <c r="G10" s="52">
        <v>0.3</v>
      </c>
      <c r="H10" s="50">
        <f t="shared" si="1"/>
        <v>3962722.8119178088</v>
      </c>
      <c r="I10" s="17">
        <f>'RRH Cost Assumptions'!F48</f>
        <v>22407</v>
      </c>
      <c r="J10" s="52">
        <v>0.2</v>
      </c>
      <c r="K10" s="50">
        <f t="shared" si="2"/>
        <v>4715542.9184931517</v>
      </c>
      <c r="L10" s="17">
        <f>'RRH Cost Assumptions'!F49</f>
        <v>42114.6</v>
      </c>
      <c r="M10" s="52">
        <v>0.1</v>
      </c>
      <c r="N10" s="50">
        <f t="shared" si="3"/>
        <v>4431499.1697945213</v>
      </c>
      <c r="O10" s="20">
        <f t="shared" si="4"/>
        <v>16319667.605547948</v>
      </c>
      <c r="P10" s="38">
        <f>O10/O15</f>
        <v>0.17548872225023293</v>
      </c>
    </row>
    <row r="11" spans="1:16" x14ac:dyDescent="0.3">
      <c r="A11" s="27" t="s">
        <v>11</v>
      </c>
      <c r="B11" s="49">
        <f>'Total # By Region who need RRH'!J9</f>
        <v>1319.081015719468</v>
      </c>
      <c r="C11" s="17">
        <f>'RRH Cost Assumptions'!F55</f>
        <v>7626.3</v>
      </c>
      <c r="D11" s="52">
        <v>0.4</v>
      </c>
      <c r="E11" s="50">
        <f t="shared" si="0"/>
        <v>4023883.0200725519</v>
      </c>
      <c r="F11" s="17">
        <f>'RRH Cost Assumptions'!F56</f>
        <v>12553.2</v>
      </c>
      <c r="G11" s="52">
        <v>0.3</v>
      </c>
      <c r="H11" s="50">
        <f t="shared" si="1"/>
        <v>4967606.3419588879</v>
      </c>
      <c r="I11" s="17">
        <f>'RRH Cost Assumptions'!F57</f>
        <v>22407</v>
      </c>
      <c r="J11" s="52">
        <v>0.2</v>
      </c>
      <c r="K11" s="50">
        <f t="shared" si="2"/>
        <v>5911329.6638452243</v>
      </c>
      <c r="L11" s="17">
        <f>'RRH Cost Assumptions'!F58</f>
        <v>42114.6</v>
      </c>
      <c r="M11" s="52">
        <v>0.1</v>
      </c>
      <c r="N11" s="50">
        <f t="shared" si="3"/>
        <v>5555256.9344619112</v>
      </c>
      <c r="O11" s="20">
        <f t="shared" si="4"/>
        <v>20458075.960338578</v>
      </c>
      <c r="P11" s="38">
        <f>O11/O15</f>
        <v>0.21998987336957351</v>
      </c>
    </row>
    <row r="12" spans="1:16" x14ac:dyDescent="0.3">
      <c r="A12" s="28" t="s">
        <v>12</v>
      </c>
      <c r="B12" s="49">
        <f>'Total # By Region who need RRH'!J10</f>
        <v>714.08595988538684</v>
      </c>
      <c r="C12" s="17">
        <f>'RRH Cost Assumptions'!F64</f>
        <v>7626.3</v>
      </c>
      <c r="D12" s="52">
        <v>0.4</v>
      </c>
      <c r="E12" s="50">
        <f t="shared" si="0"/>
        <v>2178333.5023495704</v>
      </c>
      <c r="F12" s="17">
        <f>'RRH Cost Assumptions'!F65</f>
        <v>12553.2</v>
      </c>
      <c r="G12" s="52">
        <v>0.3</v>
      </c>
      <c r="H12" s="50">
        <f t="shared" si="1"/>
        <v>2689219.1614899714</v>
      </c>
      <c r="I12" s="17">
        <f>'RRH Cost Assumptions'!F66</f>
        <v>22407</v>
      </c>
      <c r="J12" s="52">
        <v>0.2</v>
      </c>
      <c r="K12" s="50">
        <f t="shared" si="2"/>
        <v>3200104.820630373</v>
      </c>
      <c r="L12" s="17">
        <f>'RRH Cost Assumptions'!F67</f>
        <v>42114.6</v>
      </c>
      <c r="M12" s="52">
        <v>0.1</v>
      </c>
      <c r="N12" s="50">
        <f t="shared" si="3"/>
        <v>3007344.4566189116</v>
      </c>
      <c r="O12" s="20">
        <f t="shared" si="4"/>
        <v>11075001.941088825</v>
      </c>
      <c r="P12" s="38">
        <f>O12/O15</f>
        <v>0.11909176011034762</v>
      </c>
    </row>
    <row r="13" spans="1:16" ht="15" thickBot="1" x14ac:dyDescent="0.35">
      <c r="A13" s="29" t="s">
        <v>13</v>
      </c>
      <c r="B13" s="49">
        <f>'Total # By Region who need RRH'!J11</f>
        <v>1360.8387096774195</v>
      </c>
      <c r="C13" s="18">
        <f>'RRH Cost Assumptions'!F73</f>
        <v>7626.3</v>
      </c>
      <c r="D13" s="53">
        <v>0.4</v>
      </c>
      <c r="E13" s="51">
        <f t="shared" si="0"/>
        <v>4151265.7006451618</v>
      </c>
      <c r="F13" s="18">
        <f>'RRH Cost Assumptions'!F74</f>
        <v>12553.2</v>
      </c>
      <c r="G13" s="53">
        <v>0.3</v>
      </c>
      <c r="H13" s="51">
        <f t="shared" si="1"/>
        <v>5124864.1470967755</v>
      </c>
      <c r="I13" s="18">
        <f>'RRH Cost Assumptions'!F75</f>
        <v>22407</v>
      </c>
      <c r="J13" s="53">
        <v>0.2</v>
      </c>
      <c r="K13" s="51">
        <f t="shared" si="2"/>
        <v>6098462.5935483873</v>
      </c>
      <c r="L13" s="18">
        <f>'RRH Cost Assumptions'!F76</f>
        <v>42114.6</v>
      </c>
      <c r="M13" s="53">
        <v>0.1</v>
      </c>
      <c r="N13" s="51">
        <f t="shared" si="3"/>
        <v>5731117.7922580643</v>
      </c>
      <c r="O13" s="20">
        <f t="shared" si="4"/>
        <v>21105710.233548388</v>
      </c>
      <c r="P13" s="38">
        <f>O13/O15</f>
        <v>0.22695401711551666</v>
      </c>
    </row>
    <row r="14" spans="1:16" x14ac:dyDescent="0.3">
      <c r="B14" s="11">
        <f>SUM(B7:B13)</f>
        <v>5996.0987999818917</v>
      </c>
      <c r="O14" s="14"/>
    </row>
    <row r="15" spans="1:16" x14ac:dyDescent="0.3">
      <c r="O15" s="20">
        <f>SUM(O7:O14)</f>
        <v>92995534.962511167</v>
      </c>
    </row>
  </sheetData>
  <mergeCells count="4">
    <mergeCell ref="C4:E4"/>
    <mergeCell ref="F4:H4"/>
    <mergeCell ref="I4:K4"/>
    <mergeCell ref="L4:N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# By Region who need RRH</vt:lpstr>
      <vt:lpstr>RRH Cost Assumptions</vt:lpstr>
      <vt:lpstr>Cost to Serve Total # for RRH</vt:lpstr>
    </vt:vector>
  </TitlesOfParts>
  <Company>CSH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Starrett</dc:creator>
  <cp:lastModifiedBy>Vail, Jessica (MSHDA)</cp:lastModifiedBy>
  <dcterms:created xsi:type="dcterms:W3CDTF">2020-09-30T14:38:46Z</dcterms:created>
  <dcterms:modified xsi:type="dcterms:W3CDTF">2021-01-19T15:51:33Z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VailJ1@michigan.gov</vt:lpwstr>
  </property>
  <property fmtid="{D5CDD505-2E9C-101B-9397-08002B2CF9AE}" pid="5" name="MSIP_Label_3a2fed65-62e7-46ea-af74-187e0c17143a_SetDate">
    <vt:lpwstr>2021-01-19T15:51:22.3647237Z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9fd3ed5d-27ce-4a66-9c00-e7210a0fecc1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</Properties>
</file>